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755" activeTab="0"/>
  </bookViews>
  <sheets>
    <sheet name="res solidos - item 01" sheetId="1" r:id="rId1"/>
  </sheets>
  <definedNames/>
  <calcPr fullCalcOnLoad="1"/>
</workbook>
</file>

<file path=xl/sharedStrings.xml><?xml version="1.0" encoding="utf-8"?>
<sst xmlns="http://schemas.openxmlformats.org/spreadsheetml/2006/main" count="123" uniqueCount="94">
  <si>
    <t xml:space="preserve">Discriminação </t>
  </si>
  <si>
    <t>%</t>
  </si>
  <si>
    <t>2 - UNIFORMES E EQUIPAMENTOS DE PROTEÇÃO INDIVIDUAL</t>
  </si>
  <si>
    <t>Calça</t>
  </si>
  <si>
    <t>Calçado</t>
  </si>
  <si>
    <t>3 - EQUIPAMENTOS</t>
  </si>
  <si>
    <t>Custo Total Mensal</t>
  </si>
  <si>
    <t>Função</t>
  </si>
  <si>
    <t>Motorista Diurno</t>
  </si>
  <si>
    <t>Coletores Diurno</t>
  </si>
  <si>
    <t>inss</t>
  </si>
  <si>
    <t>Total Mão de Obra</t>
  </si>
  <si>
    <t>1 - MÃO DE OBRA</t>
  </si>
  <si>
    <t>R$ total</t>
  </si>
  <si>
    <t>nº hms</t>
  </si>
  <si>
    <t>r$/hms/m</t>
  </si>
  <si>
    <t>r$ unid.</t>
  </si>
  <si>
    <t>QTD</t>
  </si>
  <si>
    <t>Unid</t>
  </si>
  <si>
    <t>Total EPIs e Uniformes</t>
  </si>
  <si>
    <t>Chassis c/compactador</t>
  </si>
  <si>
    <t>Especificação</t>
  </si>
  <si>
    <t>total</t>
  </si>
  <si>
    <t>Qtd</t>
  </si>
  <si>
    <t>r$ Unid.</t>
  </si>
  <si>
    <t xml:space="preserve">r$ total </t>
  </si>
  <si>
    <t>deprec80%</t>
  </si>
  <si>
    <t>a.m.</t>
  </si>
  <si>
    <t>Total Depreciação</t>
  </si>
  <si>
    <t>R$/KM</t>
  </si>
  <si>
    <t>R$/Litro</t>
  </si>
  <si>
    <t>Km/p/litro</t>
  </si>
  <si>
    <t>Km/mês</t>
  </si>
  <si>
    <t>meses</t>
  </si>
  <si>
    <t>R$ Unid</t>
  </si>
  <si>
    <t>R$ tot</t>
  </si>
  <si>
    <t>a.m</t>
  </si>
  <si>
    <t>Total</t>
  </si>
  <si>
    <t>Oleo diesel</t>
  </si>
  <si>
    <t>Oleo de Motor</t>
  </si>
  <si>
    <t>Oleo Hidraulico</t>
  </si>
  <si>
    <t>Aluguel/agua/luz/telefone/escritorio</t>
  </si>
  <si>
    <t>Especificações</t>
  </si>
  <si>
    <t>valor</t>
  </si>
  <si>
    <t>Percentual sobre o custo total</t>
  </si>
  <si>
    <t>custo tot</t>
  </si>
  <si>
    <t>Custo Mensal antes do Lucro</t>
  </si>
  <si>
    <t>Total de Lucratividade</t>
  </si>
  <si>
    <t>Total antes dos Impostos</t>
  </si>
  <si>
    <t>PIS/Cofins/csl</t>
  </si>
  <si>
    <t>ISS</t>
  </si>
  <si>
    <t>Imposto de Renda PJ</t>
  </si>
  <si>
    <t>Total com pneus</t>
  </si>
  <si>
    <t>Trabalhadores</t>
  </si>
  <si>
    <t>Salario</t>
  </si>
  <si>
    <t>Insalubridade</t>
  </si>
  <si>
    <t>Adic Noturno</t>
  </si>
  <si>
    <t>Férias</t>
  </si>
  <si>
    <t>1/3 férias</t>
  </si>
  <si>
    <t>FGTS + 40%</t>
  </si>
  <si>
    <t>V. Transp</t>
  </si>
  <si>
    <t>V Aliment</t>
  </si>
  <si>
    <t>Total Unid</t>
  </si>
  <si>
    <t xml:space="preserve">Total </t>
  </si>
  <si>
    <t>Pneus</t>
  </si>
  <si>
    <t>Transporte dos Residuos Coletados até a destinação final</t>
  </si>
  <si>
    <t>PLANILHA DE CUSTOS SERV COLETA DE LIXO RECICLÁVEL E ORGÂNICO</t>
  </si>
  <si>
    <t>SETOR DE LICITAÇÕES</t>
  </si>
  <si>
    <t>Aterro Sanitário</t>
  </si>
  <si>
    <t>9 - Despesas Administrativas</t>
  </si>
  <si>
    <t>10 - Lucratividade</t>
  </si>
  <si>
    <t>11 - Impostos</t>
  </si>
  <si>
    <t>ton/m</t>
  </si>
  <si>
    <t>Total das Desp Oeracionais</t>
  </si>
  <si>
    <t>Total de Impostos</t>
  </si>
  <si>
    <t>4 - IMPOSTOS/SEGUROS</t>
  </si>
  <si>
    <t>5 - Materiais de Consumo</t>
  </si>
  <si>
    <t>6 - Pneus</t>
  </si>
  <si>
    <t>7 - Destinação Final (aterro sanitário)</t>
  </si>
  <si>
    <t>Camiseta Refletiva</t>
  </si>
  <si>
    <t>Capa de Chuva com refletivo</t>
  </si>
  <si>
    <t>Luva de Proteção</t>
  </si>
  <si>
    <t>Mascara de Proteção</t>
  </si>
  <si>
    <t>Protetor Solar FPS 30</t>
  </si>
  <si>
    <t>IPVA</t>
  </si>
  <si>
    <t>Seguro Obrigatório</t>
  </si>
  <si>
    <t>Licenciamento</t>
  </si>
  <si>
    <t>Oleo Diferencial</t>
  </si>
  <si>
    <t>Custo por Tonelada</t>
  </si>
  <si>
    <t>PREFEITURA MUNICIPAL DE RENASCENÇA - PARANÁ</t>
  </si>
  <si>
    <t>LICITAÇÃO: 006/2019</t>
  </si>
  <si>
    <t>DATA: 05/02/2019</t>
  </si>
  <si>
    <t>ASSINATURA DO RESPONSÁVEL PELA PROPONENTE</t>
  </si>
  <si>
    <t>ANEXO XV</t>
  </si>
</sst>
</file>

<file path=xl/styles.xml><?xml version="1.0" encoding="utf-8"?>
<styleSheet xmlns="http://schemas.openxmlformats.org/spreadsheetml/2006/main">
  <numFmts count="4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[$-416]mmm\-yy;@"/>
    <numFmt numFmtId="187" formatCode="0.00000"/>
    <numFmt numFmtId="188" formatCode="_(&quot;R$&quot;* #,##0.00_);_(&quot;R$&quot;* \(#,##0.00\);_(&quot;R$&quot;* &quot;-&quot;??_);_(@_)"/>
    <numFmt numFmtId="189" formatCode="_-* #,##0_-;\-* #,##0_-;_-* &quot;-&quot;??_-;_-@_-"/>
    <numFmt numFmtId="190" formatCode="_-* #,##0.0_-;\-* #,##0.0_-;_-* &quot;-&quot;??_-;_-@_-"/>
    <numFmt numFmtId="191" formatCode="_(* #,##0.0_);_(* \(#,##0.0\);_(* &quot;-&quot;??_);_(@_)"/>
    <numFmt numFmtId="192" formatCode="_(* #,##0_);_(* \(#,##0\);_(* &quot;-&quot;??_);_(@_)"/>
    <numFmt numFmtId="193" formatCode="0.0"/>
    <numFmt numFmtId="194" formatCode="0.0%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sz val="10"/>
      <color indexed="8"/>
      <name val="Bodoni MT"/>
      <family val="1"/>
    </font>
    <font>
      <sz val="9"/>
      <color indexed="8"/>
      <name val="Bodoni MT"/>
      <family val="1"/>
    </font>
    <font>
      <sz val="7"/>
      <color indexed="8"/>
      <name val="Bodoni MT"/>
      <family val="1"/>
    </font>
    <font>
      <b/>
      <sz val="12"/>
      <color indexed="8"/>
      <name val="Bodoni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18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ont="0" applyFill="0" applyBorder="0" applyAlignment="0" applyProtection="0"/>
    <xf numFmtId="185" fontId="2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189" fontId="4" fillId="0" borderId="0" xfId="66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11" xfId="66" applyFont="1" applyBorder="1" applyAlignment="1">
      <alignment/>
    </xf>
    <xf numFmtId="171" fontId="4" fillId="0" borderId="12" xfId="66" applyFont="1" applyBorder="1" applyAlignment="1">
      <alignment/>
    </xf>
    <xf numFmtId="171" fontId="4" fillId="0" borderId="0" xfId="66" applyFont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1" fontId="4" fillId="0" borderId="14" xfId="66" applyFont="1" applyBorder="1" applyAlignment="1">
      <alignment/>
    </xf>
    <xf numFmtId="171" fontId="5" fillId="0" borderId="15" xfId="66" applyFont="1" applyBorder="1" applyAlignment="1">
      <alignment/>
    </xf>
    <xf numFmtId="4" fontId="8" fillId="0" borderId="11" xfId="51" applyNumberFormat="1" applyFont="1" applyFill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9" fontId="4" fillId="0" borderId="11" xfId="66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4" fillId="33" borderId="0" xfId="66" applyFont="1" applyFill="1" applyBorder="1" applyAlignment="1">
      <alignment/>
    </xf>
    <xf numFmtId="171" fontId="4" fillId="33" borderId="17" xfId="66" applyFont="1" applyFill="1" applyBorder="1" applyAlignment="1">
      <alignment/>
    </xf>
    <xf numFmtId="171" fontId="5" fillId="0" borderId="12" xfId="66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1" fontId="5" fillId="0" borderId="12" xfId="66" applyFont="1" applyBorder="1" applyAlignment="1">
      <alignment horizontal="left"/>
    </xf>
    <xf numFmtId="171" fontId="4" fillId="0" borderId="15" xfId="66" applyFont="1" applyBorder="1" applyAlignment="1">
      <alignment/>
    </xf>
    <xf numFmtId="171" fontId="4" fillId="34" borderId="17" xfId="66" applyFont="1" applyFill="1" applyBorder="1" applyAlignment="1">
      <alignment/>
    </xf>
    <xf numFmtId="171" fontId="5" fillId="0" borderId="18" xfId="66" applyFont="1" applyBorder="1" applyAlignment="1">
      <alignment/>
    </xf>
    <xf numFmtId="171" fontId="9" fillId="0" borderId="17" xfId="66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71" fontId="4" fillId="0" borderId="12" xfId="66" applyFont="1" applyBorder="1" applyAlignment="1">
      <alignment horizontal="center"/>
    </xf>
    <xf numFmtId="171" fontId="5" fillId="0" borderId="22" xfId="66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71" fontId="5" fillId="0" borderId="0" xfId="66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171" fontId="5" fillId="0" borderId="21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35" borderId="11" xfId="0" applyFont="1" applyFill="1" applyBorder="1" applyAlignment="1">
      <alignment horizontal="center"/>
    </xf>
    <xf numFmtId="171" fontId="4" fillId="35" borderId="12" xfId="66" applyFont="1" applyFill="1" applyBorder="1" applyAlignment="1">
      <alignment/>
    </xf>
    <xf numFmtId="10" fontId="4" fillId="35" borderId="11" xfId="53" applyNumberFormat="1" applyFont="1" applyFill="1" applyBorder="1" applyAlignment="1">
      <alignment/>
    </xf>
    <xf numFmtId="10" fontId="5" fillId="35" borderId="25" xfId="0" applyNumberFormat="1" applyFont="1" applyFill="1" applyBorder="1" applyAlignment="1">
      <alignment/>
    </xf>
    <xf numFmtId="171" fontId="5" fillId="35" borderId="15" xfId="66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/>
    </xf>
    <xf numFmtId="171" fontId="5" fillId="35" borderId="12" xfId="66" applyFont="1" applyFill="1" applyBorder="1" applyAlignment="1">
      <alignment horizontal="left"/>
    </xf>
    <xf numFmtId="0" fontId="4" fillId="35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43" fontId="5" fillId="0" borderId="17" xfId="0" applyNumberFormat="1" applyFont="1" applyBorder="1" applyAlignment="1">
      <alignment/>
    </xf>
    <xf numFmtId="189" fontId="4" fillId="0" borderId="11" xfId="66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1" fontId="4" fillId="0" borderId="27" xfId="66" applyFont="1" applyBorder="1" applyAlignment="1">
      <alignment/>
    </xf>
    <xf numFmtId="171" fontId="4" fillId="0" borderId="28" xfId="66" applyFont="1" applyBorder="1" applyAlignment="1">
      <alignment/>
    </xf>
    <xf numFmtId="0" fontId="6" fillId="0" borderId="11" xfId="0" applyFont="1" applyBorder="1" applyAlignment="1">
      <alignment horizontal="center" textRotation="90"/>
    </xf>
    <xf numFmtId="171" fontId="6" fillId="0" borderId="11" xfId="66" applyFont="1" applyBorder="1" applyAlignment="1">
      <alignment horizontal="center" textRotation="90"/>
    </xf>
    <xf numFmtId="171" fontId="4" fillId="0" borderId="12" xfId="66" applyNumberFormat="1" applyFont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35" borderId="33" xfId="0" applyFont="1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171" fontId="4" fillId="0" borderId="34" xfId="66" applyFont="1" applyBorder="1" applyAlignment="1">
      <alignment horizontal="center"/>
    </xf>
    <xf numFmtId="171" fontId="4" fillId="0" borderId="35" xfId="66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89" fontId="4" fillId="0" borderId="11" xfId="66" applyNumberFormat="1" applyFont="1" applyBorder="1" applyAlignment="1">
      <alignment horizontal="center"/>
    </xf>
    <xf numFmtId="171" fontId="4" fillId="0" borderId="11" xfId="66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1" fontId="4" fillId="35" borderId="11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1" fontId="4" fillId="0" borderId="11" xfId="66" applyFont="1" applyBorder="1" applyAlignment="1">
      <alignment horizontal="right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71" fontId="4" fillId="0" borderId="11" xfId="66" applyFont="1" applyBorder="1" applyAlignment="1">
      <alignment horizontal="center"/>
    </xf>
    <xf numFmtId="0" fontId="7" fillId="0" borderId="10" xfId="51" applyFont="1" applyFill="1" applyBorder="1" applyAlignment="1">
      <alignment horizontal="left"/>
      <protection/>
    </xf>
    <xf numFmtId="0" fontId="7" fillId="0" borderId="11" xfId="51" applyFont="1" applyFill="1" applyBorder="1" applyAlignment="1">
      <alignment horizontal="left"/>
      <protection/>
    </xf>
    <xf numFmtId="0" fontId="7" fillId="0" borderId="38" xfId="51" applyFont="1" applyFill="1" applyBorder="1" applyAlignment="1">
      <alignment horizontal="left"/>
      <protection/>
    </xf>
    <xf numFmtId="0" fontId="7" fillId="0" borderId="34" xfId="51" applyFont="1" applyFill="1" applyBorder="1" applyAlignment="1">
      <alignment horizontal="left"/>
      <protection/>
    </xf>
    <xf numFmtId="0" fontId="7" fillId="0" borderId="35" xfId="51" applyFont="1" applyFill="1" applyBorder="1" applyAlignment="1">
      <alignment horizontal="left"/>
      <protection/>
    </xf>
    <xf numFmtId="171" fontId="4" fillId="0" borderId="32" xfId="66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71" fontId="4" fillId="0" borderId="11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9" fontId="4" fillId="0" borderId="34" xfId="0" applyNumberFormat="1" applyFont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0"/>
  <sheetViews>
    <sheetView tabSelected="1" view="pageBreakPreview" zoomScaleNormal="130" zoomScaleSheetLayoutView="100" zoomScalePageLayoutView="0" workbookViewId="0" topLeftCell="A61">
      <selection activeCell="D5" sqref="D5:I5"/>
    </sheetView>
  </sheetViews>
  <sheetFormatPr defaultColWidth="9.140625" defaultRowHeight="15"/>
  <cols>
    <col min="1" max="1" width="17.7109375" style="2" bestFit="1" customWidth="1"/>
    <col min="2" max="2" width="5.8515625" style="2" customWidth="1"/>
    <col min="3" max="3" width="11.8515625" style="2" customWidth="1"/>
    <col min="4" max="4" width="8.7109375" style="2" customWidth="1"/>
    <col min="5" max="6" width="8.00390625" style="2" bestFit="1" customWidth="1"/>
    <col min="7" max="7" width="8.28125" style="2" customWidth="1"/>
    <col min="8" max="8" width="8.7109375" style="2" customWidth="1"/>
    <col min="9" max="9" width="9.8515625" style="2" customWidth="1"/>
    <col min="10" max="10" width="9.00390625" style="2" customWidth="1"/>
    <col min="11" max="11" width="8.00390625" style="2" bestFit="1" customWidth="1"/>
    <col min="12" max="12" width="11.57421875" style="2" bestFit="1" customWidth="1"/>
    <col min="13" max="13" width="13.140625" style="7" bestFit="1" customWidth="1"/>
    <col min="14" max="14" width="10.57421875" style="1" bestFit="1" customWidth="1"/>
    <col min="15" max="15" width="9.57421875" style="2" bestFit="1" customWidth="1"/>
    <col min="16" max="16384" width="9.140625" style="2" customWidth="1"/>
  </cols>
  <sheetData>
    <row r="2" spans="1:13" ht="15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">
      <c r="A3" s="141" t="s">
        <v>67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5">
      <c r="A4" s="141" t="s">
        <v>90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4:9" ht="15">
      <c r="D5" s="141" t="s">
        <v>93</v>
      </c>
      <c r="E5" s="141"/>
      <c r="F5" s="141"/>
      <c r="G5" s="141"/>
      <c r="H5" s="141"/>
      <c r="I5" s="141"/>
    </row>
    <row r="8" ht="15.75" thickBot="1"/>
    <row r="9" spans="1:13" ht="21.75" customHeight="1" thickBot="1">
      <c r="A9" s="132" t="s">
        <v>66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4"/>
    </row>
    <row r="10" spans="1:13" ht="21.75" customHeight="1">
      <c r="A10" s="135" t="s">
        <v>12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3" ht="71.25" customHeight="1">
      <c r="A11" s="4" t="s">
        <v>7</v>
      </c>
      <c r="B11" s="58" t="s">
        <v>53</v>
      </c>
      <c r="C11" s="58" t="s">
        <v>54</v>
      </c>
      <c r="D11" s="58" t="s">
        <v>55</v>
      </c>
      <c r="E11" s="58" t="s">
        <v>56</v>
      </c>
      <c r="F11" s="58" t="s">
        <v>57</v>
      </c>
      <c r="G11" s="58" t="s">
        <v>58</v>
      </c>
      <c r="H11" s="58" t="s">
        <v>10</v>
      </c>
      <c r="I11" s="58" t="s">
        <v>59</v>
      </c>
      <c r="J11" s="58" t="s">
        <v>60</v>
      </c>
      <c r="K11" s="58" t="s">
        <v>61</v>
      </c>
      <c r="L11" s="58" t="s">
        <v>62</v>
      </c>
      <c r="M11" s="59" t="s">
        <v>63</v>
      </c>
    </row>
    <row r="12" spans="1:14" ht="15">
      <c r="A12" s="54" t="s">
        <v>8</v>
      </c>
      <c r="B12" s="55">
        <v>1</v>
      </c>
      <c r="C12" s="56">
        <v>1569.78</v>
      </c>
      <c r="D12" s="56">
        <f>998*0.4</f>
        <v>399.20000000000005</v>
      </c>
      <c r="E12" s="56">
        <v>0</v>
      </c>
      <c r="F12" s="56">
        <f>(C12+D12+E12)/12</f>
        <v>164.08166666666668</v>
      </c>
      <c r="G12" s="56">
        <f>F12/3</f>
        <v>54.69388888888889</v>
      </c>
      <c r="H12" s="56">
        <f>(C12+D12+E12+F12)*0.21</f>
        <v>447.94294999999994</v>
      </c>
      <c r="I12" s="56">
        <f>((C12+D12+E12+F12)*0.08)*1.4</f>
        <v>238.9029066666666</v>
      </c>
      <c r="J12" s="56">
        <v>0</v>
      </c>
      <c r="K12" s="56">
        <v>0</v>
      </c>
      <c r="L12" s="56">
        <f>SUM(C12:K12)</f>
        <v>2874.6014122222223</v>
      </c>
      <c r="M12" s="57">
        <f>ROUND(B12*L12,2)</f>
        <v>2874.6</v>
      </c>
      <c r="N12" s="7"/>
    </row>
    <row r="13" spans="1:14" ht="15">
      <c r="A13" s="3" t="s">
        <v>9</v>
      </c>
      <c r="B13" s="4">
        <v>2</v>
      </c>
      <c r="C13" s="5">
        <v>1238</v>
      </c>
      <c r="D13" s="5">
        <f>998*0.4</f>
        <v>399.20000000000005</v>
      </c>
      <c r="E13" s="5">
        <v>0</v>
      </c>
      <c r="F13" s="5">
        <f>(C13+D13+E13)/12</f>
        <v>136.43333333333334</v>
      </c>
      <c r="G13" s="5">
        <f>F13/3</f>
        <v>45.47777777777778</v>
      </c>
      <c r="H13" s="5">
        <f>(C13+D13+E13+F13)*0.21</f>
        <v>372.463</v>
      </c>
      <c r="I13" s="5">
        <f>((C13+D13+E13+F13)*0.08)*1.4</f>
        <v>198.64693333333332</v>
      </c>
      <c r="J13" s="5">
        <v>0</v>
      </c>
      <c r="K13" s="5">
        <v>312.53</v>
      </c>
      <c r="L13" s="5">
        <f>SUM(C13:K13)</f>
        <v>2702.751044444445</v>
      </c>
      <c r="M13" s="6">
        <f>ROUND(B13*L13,2)</f>
        <v>5405.5</v>
      </c>
      <c r="N13" s="7"/>
    </row>
    <row r="14" spans="1:14" ht="15.75" thickBot="1">
      <c r="A14" s="8" t="s">
        <v>11</v>
      </c>
      <c r="B14" s="9">
        <f>SUM(B12:B13)</f>
        <v>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>
        <f>SUM(M12:M13)</f>
        <v>8280.1</v>
      </c>
      <c r="N14" s="7"/>
    </row>
    <row r="15" spans="1:14" ht="15.75" thickBot="1">
      <c r="A15" s="17"/>
      <c r="B15" s="18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20"/>
      <c r="N15" s="7"/>
    </row>
    <row r="16" spans="1:13" ht="15">
      <c r="A16" s="138" t="s">
        <v>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</row>
    <row r="17" spans="1:13" ht="15">
      <c r="A17" s="122" t="s">
        <v>0</v>
      </c>
      <c r="B17" s="123"/>
      <c r="C17" s="123"/>
      <c r="D17" s="123"/>
      <c r="E17" s="12" t="s">
        <v>18</v>
      </c>
      <c r="F17" s="82" t="s">
        <v>17</v>
      </c>
      <c r="G17" s="82"/>
      <c r="H17" s="82" t="s">
        <v>16</v>
      </c>
      <c r="I17" s="82"/>
      <c r="J17" s="82" t="s">
        <v>15</v>
      </c>
      <c r="K17" s="82"/>
      <c r="L17" s="4" t="s">
        <v>14</v>
      </c>
      <c r="M17" s="6" t="s">
        <v>13</v>
      </c>
    </row>
    <row r="18" spans="1:13" ht="15">
      <c r="A18" s="124" t="s">
        <v>3</v>
      </c>
      <c r="B18" s="125"/>
      <c r="C18" s="125"/>
      <c r="D18" s="126"/>
      <c r="E18" s="12" t="s">
        <v>18</v>
      </c>
      <c r="F18" s="127">
        <f>1/3</f>
        <v>0.3333333333333333</v>
      </c>
      <c r="G18" s="76"/>
      <c r="H18" s="127">
        <v>40</v>
      </c>
      <c r="I18" s="76"/>
      <c r="J18" s="127">
        <f>F18*H18</f>
        <v>13.333333333333332</v>
      </c>
      <c r="K18" s="76"/>
      <c r="L18" s="4">
        <f>B14</f>
        <v>3</v>
      </c>
      <c r="M18" s="60">
        <f aca="true" t="shared" si="0" ref="M18:M24">J18*L18</f>
        <v>40</v>
      </c>
    </row>
    <row r="19" spans="1:13" ht="15">
      <c r="A19" s="124" t="s">
        <v>79</v>
      </c>
      <c r="B19" s="125"/>
      <c r="C19" s="125"/>
      <c r="D19" s="126"/>
      <c r="E19" s="12" t="s">
        <v>18</v>
      </c>
      <c r="F19" s="121">
        <f>1/2</f>
        <v>0.5</v>
      </c>
      <c r="G19" s="121"/>
      <c r="H19" s="127">
        <v>44.56</v>
      </c>
      <c r="I19" s="76"/>
      <c r="J19" s="121">
        <f aca="true" t="shared" si="1" ref="J19:J24">F19*H19</f>
        <v>22.28</v>
      </c>
      <c r="K19" s="121"/>
      <c r="L19" s="4">
        <f aca="true" t="shared" si="2" ref="L19:L24">L18</f>
        <v>3</v>
      </c>
      <c r="M19" s="60">
        <f t="shared" si="0"/>
        <v>66.84</v>
      </c>
    </row>
    <row r="20" spans="1:13" ht="15">
      <c r="A20" s="124" t="s">
        <v>4</v>
      </c>
      <c r="B20" s="125"/>
      <c r="C20" s="125"/>
      <c r="D20" s="126"/>
      <c r="E20" s="12" t="s">
        <v>18</v>
      </c>
      <c r="F20" s="121">
        <v>1</v>
      </c>
      <c r="G20" s="121"/>
      <c r="H20" s="127">
        <v>29.5</v>
      </c>
      <c r="I20" s="76"/>
      <c r="J20" s="121">
        <f t="shared" si="1"/>
        <v>29.5</v>
      </c>
      <c r="K20" s="121"/>
      <c r="L20" s="4">
        <f t="shared" si="2"/>
        <v>3</v>
      </c>
      <c r="M20" s="6">
        <f t="shared" si="0"/>
        <v>88.5</v>
      </c>
    </row>
    <row r="21" spans="1:13" ht="15" customHeight="1">
      <c r="A21" s="124" t="s">
        <v>80</v>
      </c>
      <c r="B21" s="125"/>
      <c r="C21" s="125"/>
      <c r="D21" s="126"/>
      <c r="E21" s="12" t="s">
        <v>18</v>
      </c>
      <c r="F21" s="121">
        <f>1/6</f>
        <v>0.16666666666666666</v>
      </c>
      <c r="G21" s="121"/>
      <c r="H21" s="127">
        <v>160</v>
      </c>
      <c r="I21" s="76"/>
      <c r="J21" s="121">
        <f t="shared" si="1"/>
        <v>26.666666666666664</v>
      </c>
      <c r="K21" s="121"/>
      <c r="L21" s="4">
        <f t="shared" si="2"/>
        <v>3</v>
      </c>
      <c r="M21" s="6">
        <f t="shared" si="0"/>
        <v>80</v>
      </c>
    </row>
    <row r="22" spans="1:13" ht="15">
      <c r="A22" s="124" t="s">
        <v>81</v>
      </c>
      <c r="B22" s="125"/>
      <c r="C22" s="125"/>
      <c r="D22" s="126"/>
      <c r="E22" s="12" t="s">
        <v>18</v>
      </c>
      <c r="F22" s="121">
        <v>16</v>
      </c>
      <c r="G22" s="121"/>
      <c r="H22" s="127">
        <v>5.9</v>
      </c>
      <c r="I22" s="76"/>
      <c r="J22" s="121">
        <f t="shared" si="1"/>
        <v>94.4</v>
      </c>
      <c r="K22" s="121"/>
      <c r="L22" s="4">
        <f t="shared" si="2"/>
        <v>3</v>
      </c>
      <c r="M22" s="60">
        <f t="shared" si="0"/>
        <v>283.20000000000005</v>
      </c>
    </row>
    <row r="23" spans="1:13" ht="15" customHeight="1">
      <c r="A23" s="124" t="s">
        <v>82</v>
      </c>
      <c r="B23" s="125"/>
      <c r="C23" s="125"/>
      <c r="D23" s="126"/>
      <c r="E23" s="12" t="s">
        <v>18</v>
      </c>
      <c r="F23" s="121">
        <v>16</v>
      </c>
      <c r="G23" s="121"/>
      <c r="H23" s="127">
        <v>2</v>
      </c>
      <c r="I23" s="76"/>
      <c r="J23" s="121">
        <f t="shared" si="1"/>
        <v>32</v>
      </c>
      <c r="K23" s="121"/>
      <c r="L23" s="4">
        <f t="shared" si="2"/>
        <v>3</v>
      </c>
      <c r="M23" s="6">
        <f t="shared" si="0"/>
        <v>96</v>
      </c>
    </row>
    <row r="24" spans="1:13" ht="15" customHeight="1">
      <c r="A24" s="124" t="s">
        <v>83</v>
      </c>
      <c r="B24" s="125"/>
      <c r="C24" s="125"/>
      <c r="D24" s="126"/>
      <c r="E24" s="12" t="s">
        <v>18</v>
      </c>
      <c r="F24" s="121">
        <v>1</v>
      </c>
      <c r="G24" s="121"/>
      <c r="H24" s="127">
        <v>10.5</v>
      </c>
      <c r="I24" s="76"/>
      <c r="J24" s="121">
        <f t="shared" si="1"/>
        <v>10.5</v>
      </c>
      <c r="K24" s="121"/>
      <c r="L24" s="4">
        <f t="shared" si="2"/>
        <v>3</v>
      </c>
      <c r="M24" s="6">
        <f t="shared" si="0"/>
        <v>31.5</v>
      </c>
    </row>
    <row r="25" spans="1:13" ht="15">
      <c r="A25" s="122"/>
      <c r="B25" s="123"/>
      <c r="C25" s="123"/>
      <c r="D25" s="123"/>
      <c r="E25" s="12"/>
      <c r="F25" s="121"/>
      <c r="G25" s="121"/>
      <c r="H25" s="121"/>
      <c r="I25" s="121"/>
      <c r="J25" s="121"/>
      <c r="K25" s="121"/>
      <c r="L25" s="4"/>
      <c r="M25" s="6"/>
    </row>
    <row r="26" spans="1:13" ht="15">
      <c r="A26" s="122"/>
      <c r="B26" s="123"/>
      <c r="C26" s="123"/>
      <c r="D26" s="123"/>
      <c r="E26" s="12"/>
      <c r="F26" s="121"/>
      <c r="G26" s="121"/>
      <c r="H26" s="121"/>
      <c r="I26" s="121"/>
      <c r="J26" s="121"/>
      <c r="K26" s="121"/>
      <c r="L26" s="4"/>
      <c r="M26" s="6"/>
    </row>
    <row r="27" spans="1:13" ht="15.75" thickBot="1">
      <c r="A27" s="118" t="s">
        <v>19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11">
        <f>SUM(M18:M26)</f>
        <v>686.0400000000001</v>
      </c>
    </row>
    <row r="28" spans="1:13" ht="15.75" thickBo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1:13" ht="15">
      <c r="A29" s="108" t="s">
        <v>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</row>
    <row r="30" spans="1:13" ht="15">
      <c r="A30" s="95" t="s">
        <v>21</v>
      </c>
      <c r="B30" s="96"/>
      <c r="C30" s="96"/>
      <c r="D30" s="96"/>
      <c r="E30" s="96"/>
      <c r="F30" s="96"/>
      <c r="G30" s="13" t="s">
        <v>23</v>
      </c>
      <c r="H30" s="82" t="s">
        <v>24</v>
      </c>
      <c r="I30" s="82"/>
      <c r="J30" s="82" t="s">
        <v>25</v>
      </c>
      <c r="K30" s="82"/>
      <c r="L30" s="4" t="s">
        <v>26</v>
      </c>
      <c r="M30" s="6" t="s">
        <v>27</v>
      </c>
    </row>
    <row r="31" spans="1:13" ht="15">
      <c r="A31" s="69" t="s">
        <v>20</v>
      </c>
      <c r="B31" s="70"/>
      <c r="C31" s="70"/>
      <c r="D31" s="70"/>
      <c r="E31" s="70"/>
      <c r="F31" s="70"/>
      <c r="G31" s="4">
        <v>1</v>
      </c>
      <c r="H31" s="121">
        <v>284000</v>
      </c>
      <c r="I31" s="121"/>
      <c r="J31" s="121">
        <f>G31*H31</f>
        <v>284000</v>
      </c>
      <c r="K31" s="121"/>
      <c r="L31" s="5">
        <f>J31*0.8</f>
        <v>227200</v>
      </c>
      <c r="M31" s="6">
        <f>ROUND(L31/60,2)</f>
        <v>3786.67</v>
      </c>
    </row>
    <row r="32" spans="1:13" ht="15.75" thickBot="1">
      <c r="A32" s="118" t="s">
        <v>28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M32" s="11">
        <f>SUM(M31:M31)</f>
        <v>3786.67</v>
      </c>
    </row>
    <row r="33" spans="1:13" ht="15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</row>
    <row r="34" spans="1:13" ht="15">
      <c r="A34" s="95" t="s">
        <v>75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17"/>
    </row>
    <row r="35" spans="1:13" ht="15">
      <c r="A35" s="114" t="s">
        <v>21</v>
      </c>
      <c r="B35" s="115"/>
      <c r="C35" s="115"/>
      <c r="D35" s="115"/>
      <c r="E35" s="116"/>
      <c r="F35" s="82" t="s">
        <v>23</v>
      </c>
      <c r="G35" s="82"/>
      <c r="H35" s="82" t="s">
        <v>34</v>
      </c>
      <c r="I35" s="82"/>
      <c r="J35" s="82" t="s">
        <v>35</v>
      </c>
      <c r="K35" s="82"/>
      <c r="L35" s="13" t="s">
        <v>33</v>
      </c>
      <c r="M35" s="33" t="s">
        <v>36</v>
      </c>
    </row>
    <row r="36" spans="1:13" ht="15">
      <c r="A36" s="92" t="s">
        <v>85</v>
      </c>
      <c r="B36" s="93"/>
      <c r="C36" s="93"/>
      <c r="D36" s="93"/>
      <c r="E36" s="94"/>
      <c r="F36" s="99">
        <v>1</v>
      </c>
      <c r="G36" s="100"/>
      <c r="H36" s="97">
        <v>16.71</v>
      </c>
      <c r="I36" s="98"/>
      <c r="J36" s="97">
        <f>H36</f>
        <v>16.71</v>
      </c>
      <c r="K36" s="98"/>
      <c r="L36" s="51">
        <v>12</v>
      </c>
      <c r="M36" s="33">
        <f>ROUND(J36/L36,2)</f>
        <v>1.39</v>
      </c>
    </row>
    <row r="37" spans="1:13" ht="15">
      <c r="A37" s="92" t="s">
        <v>86</v>
      </c>
      <c r="B37" s="93"/>
      <c r="C37" s="93"/>
      <c r="D37" s="93"/>
      <c r="E37" s="94"/>
      <c r="F37" s="99">
        <v>1</v>
      </c>
      <c r="G37" s="100"/>
      <c r="H37" s="97">
        <v>86.5</v>
      </c>
      <c r="I37" s="98"/>
      <c r="J37" s="97">
        <f>H37</f>
        <v>86.5</v>
      </c>
      <c r="K37" s="98"/>
      <c r="L37" s="51">
        <v>12</v>
      </c>
      <c r="M37" s="33">
        <f>ROUND(J37/L37,2)</f>
        <v>7.21</v>
      </c>
    </row>
    <row r="38" spans="1:13" ht="15">
      <c r="A38" s="69" t="s">
        <v>84</v>
      </c>
      <c r="B38" s="70"/>
      <c r="C38" s="70"/>
      <c r="D38" s="70"/>
      <c r="E38" s="70"/>
      <c r="F38" s="82">
        <v>1</v>
      </c>
      <c r="G38" s="82"/>
      <c r="H38" s="101">
        <f>ROUND(H31*0.01,2)</f>
        <v>2840</v>
      </c>
      <c r="I38" s="101"/>
      <c r="J38" s="101">
        <f>F38*H38</f>
        <v>2840</v>
      </c>
      <c r="K38" s="101"/>
      <c r="L38" s="53">
        <v>12</v>
      </c>
      <c r="M38" s="33">
        <f>ROUND(J38/L38,2)</f>
        <v>236.67</v>
      </c>
    </row>
    <row r="39" spans="1:13" ht="15">
      <c r="A39" s="95" t="s">
        <v>37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21">
        <f>SUM(M38+M37+M36)</f>
        <v>245.26999999999998</v>
      </c>
    </row>
    <row r="40" spans="1:13" ht="1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</row>
    <row r="41" spans="1:13" ht="15">
      <c r="A41" s="95" t="s">
        <v>76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117"/>
    </row>
    <row r="42" spans="1:13" ht="15">
      <c r="A42" s="95" t="s">
        <v>21</v>
      </c>
      <c r="B42" s="96"/>
      <c r="C42" s="96"/>
      <c r="D42" s="96"/>
      <c r="E42" s="96"/>
      <c r="F42" s="82" t="s">
        <v>31</v>
      </c>
      <c r="G42" s="82"/>
      <c r="H42" s="82" t="s">
        <v>30</v>
      </c>
      <c r="I42" s="82"/>
      <c r="J42" s="82" t="s">
        <v>29</v>
      </c>
      <c r="K42" s="82"/>
      <c r="L42" s="4" t="s">
        <v>32</v>
      </c>
      <c r="M42" s="6" t="s">
        <v>22</v>
      </c>
    </row>
    <row r="43" spans="1:13" ht="15">
      <c r="A43" s="69" t="s">
        <v>38</v>
      </c>
      <c r="B43" s="70"/>
      <c r="C43" s="70"/>
      <c r="D43" s="70"/>
      <c r="E43" s="71"/>
      <c r="F43" s="82">
        <v>3.2</v>
      </c>
      <c r="G43" s="82"/>
      <c r="H43" s="82">
        <v>3.28</v>
      </c>
      <c r="I43" s="82"/>
      <c r="J43" s="101">
        <f>H43/F43</f>
        <v>1.025</v>
      </c>
      <c r="K43" s="101"/>
      <c r="L43" s="15">
        <v>400</v>
      </c>
      <c r="M43" s="6">
        <f>ROUND(J43*L43,2)</f>
        <v>410</v>
      </c>
    </row>
    <row r="44" spans="1:13" ht="15">
      <c r="A44" s="69" t="s">
        <v>39</v>
      </c>
      <c r="B44" s="70"/>
      <c r="C44" s="70"/>
      <c r="D44" s="70"/>
      <c r="E44" s="71"/>
      <c r="F44" s="82">
        <f>ROUND(10000/27,2)</f>
        <v>370.37</v>
      </c>
      <c r="G44" s="82"/>
      <c r="H44" s="82">
        <v>12.7</v>
      </c>
      <c r="I44" s="82"/>
      <c r="J44" s="101">
        <f>H44/F44</f>
        <v>0.034290034290034285</v>
      </c>
      <c r="K44" s="101"/>
      <c r="L44" s="15">
        <v>400</v>
      </c>
      <c r="M44" s="6">
        <f>ROUND(J44*L44,2)</f>
        <v>13.72</v>
      </c>
    </row>
    <row r="45" spans="1:13" ht="15">
      <c r="A45" s="69" t="s">
        <v>40</v>
      </c>
      <c r="B45" s="70"/>
      <c r="C45" s="70"/>
      <c r="D45" s="70"/>
      <c r="E45" s="71"/>
      <c r="F45" s="82">
        <f>160000/80</f>
        <v>2000</v>
      </c>
      <c r="G45" s="82"/>
      <c r="H45" s="82">
        <v>12.35</v>
      </c>
      <c r="I45" s="82"/>
      <c r="J45" s="101">
        <f>H45/F45</f>
        <v>0.006175</v>
      </c>
      <c r="K45" s="101"/>
      <c r="L45" s="15">
        <v>400</v>
      </c>
      <c r="M45" s="6">
        <f>ROUND(J45*L45,2)</f>
        <v>2.47</v>
      </c>
    </row>
    <row r="46" spans="1:13" ht="15">
      <c r="A46" s="69" t="s">
        <v>87</v>
      </c>
      <c r="B46" s="70"/>
      <c r="C46" s="70"/>
      <c r="D46" s="70"/>
      <c r="E46" s="71"/>
      <c r="F46" s="82">
        <f>ROUND(80000/12,2)</f>
        <v>6666.67</v>
      </c>
      <c r="G46" s="82"/>
      <c r="H46" s="82">
        <v>12.35</v>
      </c>
      <c r="I46" s="82"/>
      <c r="J46" s="101">
        <f>H46/F46</f>
        <v>0.001852499073750463</v>
      </c>
      <c r="K46" s="101"/>
      <c r="L46" s="15">
        <v>400</v>
      </c>
      <c r="M46" s="6">
        <f>ROUND(J46*L46,2)</f>
        <v>0.74</v>
      </c>
    </row>
    <row r="47" spans="1:13" ht="15">
      <c r="A47" s="69" t="s">
        <v>65</v>
      </c>
      <c r="B47" s="70"/>
      <c r="C47" s="70"/>
      <c r="D47" s="70"/>
      <c r="E47" s="71"/>
      <c r="F47" s="82">
        <v>5</v>
      </c>
      <c r="G47" s="82"/>
      <c r="H47" s="82">
        <v>3.28</v>
      </c>
      <c r="I47" s="82"/>
      <c r="J47" s="101">
        <f>H47/F47</f>
        <v>0.6559999999999999</v>
      </c>
      <c r="K47" s="101"/>
      <c r="L47" s="15">
        <v>400</v>
      </c>
      <c r="M47" s="6">
        <f>ROUND(J47*L47,2)</f>
        <v>262.4</v>
      </c>
    </row>
    <row r="48" spans="1:13" ht="15">
      <c r="A48" s="114" t="s">
        <v>37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21">
        <f>SUM(M43:M47)</f>
        <v>689.33</v>
      </c>
    </row>
    <row r="49" spans="1:13" ht="15.75" thickBo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</row>
    <row r="50" spans="1:13" ht="15">
      <c r="A50" s="108" t="s">
        <v>77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</row>
    <row r="51" spans="1:13" ht="15">
      <c r="A51" s="95" t="s">
        <v>21</v>
      </c>
      <c r="B51" s="96"/>
      <c r="C51" s="96"/>
      <c r="D51" s="96"/>
      <c r="E51" s="96"/>
      <c r="F51" s="82" t="s">
        <v>18</v>
      </c>
      <c r="G51" s="82"/>
      <c r="H51" s="82" t="s">
        <v>13</v>
      </c>
      <c r="I51" s="82"/>
      <c r="J51" s="82" t="s">
        <v>29</v>
      </c>
      <c r="K51" s="82"/>
      <c r="L51" s="4" t="s">
        <v>32</v>
      </c>
      <c r="M51" s="6" t="s">
        <v>22</v>
      </c>
    </row>
    <row r="52" spans="1:13" ht="15">
      <c r="A52" s="69" t="s">
        <v>64</v>
      </c>
      <c r="B52" s="70"/>
      <c r="C52" s="70"/>
      <c r="D52" s="70"/>
      <c r="E52" s="70"/>
      <c r="F52" s="82">
        <v>6</v>
      </c>
      <c r="G52" s="82"/>
      <c r="H52" s="83">
        <f>F52*1297</f>
        <v>7782</v>
      </c>
      <c r="I52" s="83"/>
      <c r="J52" s="84">
        <f>ROUND(H52/4800,2)</f>
        <v>1.62</v>
      </c>
      <c r="K52" s="84"/>
      <c r="L52" s="15">
        <v>400</v>
      </c>
      <c r="M52" s="6">
        <f>ROUND(J52*L52,2)</f>
        <v>648</v>
      </c>
    </row>
    <row r="53" spans="1:13" ht="15">
      <c r="A53" s="92" t="s">
        <v>52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21">
        <f>SUM(M52)</f>
        <v>648</v>
      </c>
    </row>
    <row r="54" spans="1:13" ht="1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90"/>
    </row>
    <row r="55" spans="1:13" ht="15.75" thickBo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</row>
    <row r="56" spans="1:13" ht="15">
      <c r="A56" s="108" t="s">
        <v>78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13" ht="15">
      <c r="A57" s="85" t="s">
        <v>42</v>
      </c>
      <c r="B57" s="86"/>
      <c r="C57" s="86"/>
      <c r="D57" s="86"/>
      <c r="E57" s="86"/>
      <c r="F57" s="47"/>
      <c r="G57" s="47"/>
      <c r="H57" s="47"/>
      <c r="I57" s="47"/>
      <c r="J57" s="87" t="s">
        <v>43</v>
      </c>
      <c r="K57" s="87"/>
      <c r="L57" s="48" t="s">
        <v>72</v>
      </c>
      <c r="M57" s="49" t="s">
        <v>22</v>
      </c>
    </row>
    <row r="58" spans="1:13" ht="15">
      <c r="A58" s="61" t="s">
        <v>68</v>
      </c>
      <c r="B58" s="62"/>
      <c r="C58" s="62"/>
      <c r="D58" s="62"/>
      <c r="E58" s="62"/>
      <c r="F58" s="62"/>
      <c r="G58" s="62"/>
      <c r="H58" s="62"/>
      <c r="I58" s="62"/>
      <c r="J58" s="91">
        <v>98.7</v>
      </c>
      <c r="K58" s="91"/>
      <c r="L58" s="50">
        <v>130</v>
      </c>
      <c r="M58" s="43">
        <f>J58*L58</f>
        <v>12831</v>
      </c>
    </row>
    <row r="59" spans="1:13" ht="15.75" thickBot="1">
      <c r="A59" s="72" t="s">
        <v>37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  <c r="M59" s="46">
        <f>SUM(M58)</f>
        <v>12831</v>
      </c>
    </row>
    <row r="60" spans="1:13" ht="15.75" thickBo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4"/>
    </row>
    <row r="61" spans="1:13" ht="15.75" thickBot="1">
      <c r="A61" s="38" t="s">
        <v>73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9">
        <f>M14+M27+M32+M39+M48+M53+M59</f>
        <v>27166.410000000003</v>
      </c>
    </row>
    <row r="62" spans="1:13" ht="15.75" thickBot="1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</row>
    <row r="63" spans="1:13" ht="15">
      <c r="A63" s="108" t="s">
        <v>69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</row>
    <row r="64" spans="1:13" ht="15">
      <c r="A64" s="95" t="s">
        <v>42</v>
      </c>
      <c r="B64" s="96"/>
      <c r="C64" s="96"/>
      <c r="D64" s="96"/>
      <c r="E64" s="96"/>
      <c r="F64" s="16"/>
      <c r="G64" s="16"/>
      <c r="H64" s="16"/>
      <c r="I64" s="16"/>
      <c r="J64" s="147" t="s">
        <v>43</v>
      </c>
      <c r="K64" s="147"/>
      <c r="L64" s="14" t="s">
        <v>1</v>
      </c>
      <c r="M64" s="24" t="s">
        <v>22</v>
      </c>
    </row>
    <row r="65" spans="1:13" ht="15">
      <c r="A65" s="69" t="s">
        <v>41</v>
      </c>
      <c r="B65" s="70"/>
      <c r="C65" s="70"/>
      <c r="D65" s="70"/>
      <c r="E65" s="70"/>
      <c r="F65" s="70"/>
      <c r="G65" s="70"/>
      <c r="H65" s="70"/>
      <c r="I65" s="70"/>
      <c r="J65" s="131">
        <f>M61</f>
        <v>27166.410000000003</v>
      </c>
      <c r="K65" s="131"/>
      <c r="L65" s="13">
        <v>2.5</v>
      </c>
      <c r="M65" s="6">
        <f>ROUND(J65*L65/100,2)</f>
        <v>679.16</v>
      </c>
    </row>
    <row r="66" spans="1:13" ht="15">
      <c r="A66" s="148" t="s">
        <v>37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21">
        <f>SUM(M65)</f>
        <v>679.16</v>
      </c>
    </row>
    <row r="67" spans="1:13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/>
    </row>
    <row r="68" spans="1:13" ht="15.75" thickBot="1">
      <c r="A68" s="158" t="s">
        <v>46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34">
        <f>ROUND(M61+M66,2)</f>
        <v>27845.57</v>
      </c>
    </row>
    <row r="69" spans="1:13" ht="15.75" thickBot="1">
      <c r="A69" s="150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/>
    </row>
    <row r="70" spans="1:13" ht="15">
      <c r="A70" s="138" t="s">
        <v>70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40"/>
    </row>
    <row r="71" spans="1:13" ht="15">
      <c r="A71" s="92" t="s">
        <v>42</v>
      </c>
      <c r="B71" s="93"/>
      <c r="C71" s="93"/>
      <c r="D71" s="93"/>
      <c r="E71" s="93"/>
      <c r="F71" s="93"/>
      <c r="G71" s="93"/>
      <c r="H71" s="93"/>
      <c r="I71" s="94"/>
      <c r="J71" s="82" t="s">
        <v>45</v>
      </c>
      <c r="K71" s="82"/>
      <c r="L71" s="13" t="s">
        <v>1</v>
      </c>
      <c r="M71" s="6" t="s">
        <v>22</v>
      </c>
    </row>
    <row r="72" spans="1:13" ht="15">
      <c r="A72" s="92" t="s">
        <v>44</v>
      </c>
      <c r="B72" s="93"/>
      <c r="C72" s="93"/>
      <c r="D72" s="93"/>
      <c r="E72" s="93"/>
      <c r="F72" s="93"/>
      <c r="G72" s="93"/>
      <c r="H72" s="93"/>
      <c r="I72" s="94"/>
      <c r="J72" s="131">
        <f>M68</f>
        <v>27845.57</v>
      </c>
      <c r="K72" s="131"/>
      <c r="L72" s="29">
        <v>10</v>
      </c>
      <c r="M72" s="6">
        <f>ROUND(J72*L72/100,2)</f>
        <v>2784.56</v>
      </c>
    </row>
    <row r="73" spans="1:13" ht="15.75" thickBot="1">
      <c r="A73" s="129" t="s">
        <v>47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25">
        <f>SUM(M72)</f>
        <v>2784.56</v>
      </c>
    </row>
    <row r="74" spans="1:13" ht="1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6"/>
    </row>
    <row r="75" spans="1:13" ht="15.75" thickBot="1">
      <c r="A75" s="145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46"/>
    </row>
    <row r="76" spans="1:13" ht="15.75" thickBot="1">
      <c r="A76" s="77" t="s">
        <v>48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27">
        <f>ROUND(M68+M73,2)</f>
        <v>30630.13</v>
      </c>
    </row>
    <row r="77" spans="1:13" ht="15.75" thickBot="1">
      <c r="A77" s="79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1"/>
    </row>
    <row r="78" spans="1:13" ht="15">
      <c r="A78" s="66" t="s">
        <v>71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</row>
    <row r="79" spans="1:13" ht="15">
      <c r="A79" s="69" t="s">
        <v>42</v>
      </c>
      <c r="B79" s="70"/>
      <c r="C79" s="70"/>
      <c r="D79" s="70"/>
      <c r="E79" s="70"/>
      <c r="F79" s="70"/>
      <c r="G79" s="70"/>
      <c r="H79" s="70"/>
      <c r="I79" s="71"/>
      <c r="J79" s="162"/>
      <c r="K79" s="100"/>
      <c r="L79" s="42" t="s">
        <v>1</v>
      </c>
      <c r="M79" s="43" t="s">
        <v>22</v>
      </c>
    </row>
    <row r="80" spans="1:13" ht="15">
      <c r="A80" s="69" t="s">
        <v>49</v>
      </c>
      <c r="B80" s="70"/>
      <c r="C80" s="70"/>
      <c r="D80" s="70"/>
      <c r="E80" s="70"/>
      <c r="F80" s="70"/>
      <c r="G80" s="70"/>
      <c r="H80" s="70"/>
      <c r="I80" s="71"/>
      <c r="J80" s="75"/>
      <c r="K80" s="76"/>
      <c r="L80" s="44">
        <v>0.0653</v>
      </c>
      <c r="M80" s="43">
        <f>ROUND(M85*L80,2)</f>
        <v>2334.71</v>
      </c>
    </row>
    <row r="81" spans="1:13" ht="15">
      <c r="A81" s="69" t="s">
        <v>50</v>
      </c>
      <c r="B81" s="70"/>
      <c r="C81" s="70"/>
      <c r="D81" s="70"/>
      <c r="E81" s="70"/>
      <c r="F81" s="70"/>
      <c r="G81" s="70"/>
      <c r="H81" s="70"/>
      <c r="I81" s="71"/>
      <c r="J81" s="75"/>
      <c r="K81" s="76"/>
      <c r="L81" s="44">
        <v>0.03</v>
      </c>
      <c r="M81" s="43">
        <f>ROUND(M85*L81,2)</f>
        <v>1072.61</v>
      </c>
    </row>
    <row r="82" spans="1:13" ht="15">
      <c r="A82" s="69" t="s">
        <v>51</v>
      </c>
      <c r="B82" s="70"/>
      <c r="C82" s="70"/>
      <c r="D82" s="70"/>
      <c r="E82" s="70"/>
      <c r="F82" s="70"/>
      <c r="G82" s="70"/>
      <c r="H82" s="70"/>
      <c r="I82" s="71"/>
      <c r="J82" s="75"/>
      <c r="K82" s="76"/>
      <c r="L82" s="44">
        <v>0.048</v>
      </c>
      <c r="M82" s="43">
        <f>ROUND(M85*L82,2)</f>
        <v>1716.17</v>
      </c>
    </row>
    <row r="83" spans="1:13" ht="15.75" thickBot="1">
      <c r="A83" s="118" t="s">
        <v>74</v>
      </c>
      <c r="B83" s="119"/>
      <c r="C83" s="119"/>
      <c r="D83" s="119"/>
      <c r="E83" s="119"/>
      <c r="F83" s="119"/>
      <c r="G83" s="119"/>
      <c r="H83" s="119"/>
      <c r="I83" s="119"/>
      <c r="J83" s="40"/>
      <c r="K83" s="41"/>
      <c r="L83" s="45">
        <f>SUM(L80:L82)</f>
        <v>0.14329999999999998</v>
      </c>
      <c r="M83" s="46">
        <f>SUM(M80:M82)</f>
        <v>5123.49</v>
      </c>
    </row>
    <row r="84" spans="1:13" ht="15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5"/>
    </row>
    <row r="85" spans="1:13" ht="16.5">
      <c r="A85" s="160" t="s">
        <v>6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28">
        <f>ROUND((M76*100/(100-L83*100)),2)</f>
        <v>35753.62</v>
      </c>
    </row>
    <row r="86" spans="1:13" ht="15">
      <c r="A86" s="156" t="s">
        <v>88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52">
        <f>ROUND(M85/130,2)</f>
        <v>275.03</v>
      </c>
    </row>
    <row r="87" spans="1:13" ht="15">
      <c r="A87" s="64" t="s">
        <v>92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5.75" thickBot="1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ht="15">
      <c r="A89" s="64" t="s">
        <v>91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5.75" thickBo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</sheetData>
  <sheetProtection/>
  <mergeCells count="154">
    <mergeCell ref="D5:I5"/>
    <mergeCell ref="A86:L86"/>
    <mergeCell ref="A70:M70"/>
    <mergeCell ref="A68:L68"/>
    <mergeCell ref="A89:M90"/>
    <mergeCell ref="A71:I71"/>
    <mergeCell ref="A85:L85"/>
    <mergeCell ref="J79:K79"/>
    <mergeCell ref="J80:K80"/>
    <mergeCell ref="A72:I72"/>
    <mergeCell ref="A82:I82"/>
    <mergeCell ref="A75:M75"/>
    <mergeCell ref="H46:I46"/>
    <mergeCell ref="A83:I83"/>
    <mergeCell ref="J64:K64"/>
    <mergeCell ref="A65:I65"/>
    <mergeCell ref="J65:K65"/>
    <mergeCell ref="A66:L66"/>
    <mergeCell ref="A63:M63"/>
    <mergeCell ref="A69:M69"/>
    <mergeCell ref="A55:M55"/>
    <mergeCell ref="A2:M2"/>
    <mergeCell ref="A3:M3"/>
    <mergeCell ref="A4:M4"/>
    <mergeCell ref="A60:M60"/>
    <mergeCell ref="A56:M56"/>
    <mergeCell ref="F45:G45"/>
    <mergeCell ref="H45:I45"/>
    <mergeCell ref="F46:G46"/>
    <mergeCell ref="F23:G23"/>
    <mergeCell ref="F24:G24"/>
    <mergeCell ref="A87:M88"/>
    <mergeCell ref="A73:L73"/>
    <mergeCell ref="J71:K71"/>
    <mergeCell ref="J72:K72"/>
    <mergeCell ref="A9:M9"/>
    <mergeCell ref="A10:M10"/>
    <mergeCell ref="A16:M16"/>
    <mergeCell ref="A29:M29"/>
    <mergeCell ref="F22:G22"/>
    <mergeCell ref="A64:E64"/>
    <mergeCell ref="F25:G25"/>
    <mergeCell ref="H22:I22"/>
    <mergeCell ref="J23:K23"/>
    <mergeCell ref="J24:K24"/>
    <mergeCell ref="H24:I24"/>
    <mergeCell ref="H25:I25"/>
    <mergeCell ref="J21:K21"/>
    <mergeCell ref="J22:K22"/>
    <mergeCell ref="J17:K17"/>
    <mergeCell ref="J18:K18"/>
    <mergeCell ref="J19:K19"/>
    <mergeCell ref="J20:K20"/>
    <mergeCell ref="F21:G21"/>
    <mergeCell ref="F17:G17"/>
    <mergeCell ref="F18:G18"/>
    <mergeCell ref="H26:I26"/>
    <mergeCell ref="H17:I17"/>
    <mergeCell ref="H18:I18"/>
    <mergeCell ref="H19:I19"/>
    <mergeCell ref="H20:I20"/>
    <mergeCell ref="H21:I21"/>
    <mergeCell ref="H23:I23"/>
    <mergeCell ref="F19:G19"/>
    <mergeCell ref="F20:G20"/>
    <mergeCell ref="A17:D17"/>
    <mergeCell ref="A18:D18"/>
    <mergeCell ref="A19:D19"/>
    <mergeCell ref="A20:D20"/>
    <mergeCell ref="J31:K31"/>
    <mergeCell ref="H31:I31"/>
    <mergeCell ref="A21:D21"/>
    <mergeCell ref="A22:D22"/>
    <mergeCell ref="J25:K25"/>
    <mergeCell ref="J26:K26"/>
    <mergeCell ref="A24:D24"/>
    <mergeCell ref="A23:D23"/>
    <mergeCell ref="A25:D25"/>
    <mergeCell ref="A30:F30"/>
    <mergeCell ref="A32:L32"/>
    <mergeCell ref="J43:K43"/>
    <mergeCell ref="J38:K38"/>
    <mergeCell ref="F26:G26"/>
    <mergeCell ref="H30:I30"/>
    <mergeCell ref="J30:K30"/>
    <mergeCell ref="A26:D26"/>
    <mergeCell ref="A27:L27"/>
    <mergeCell ref="A41:M41"/>
    <mergeCell ref="A31:F31"/>
    <mergeCell ref="A35:E35"/>
    <mergeCell ref="A38:E38"/>
    <mergeCell ref="A34:M34"/>
    <mergeCell ref="J35:K35"/>
    <mergeCell ref="H35:I35"/>
    <mergeCell ref="F35:G35"/>
    <mergeCell ref="A37:E37"/>
    <mergeCell ref="H36:I36"/>
    <mergeCell ref="H37:I37"/>
    <mergeCell ref="F36:G36"/>
    <mergeCell ref="A50:M50"/>
    <mergeCell ref="A47:E47"/>
    <mergeCell ref="F47:G47"/>
    <mergeCell ref="H47:I47"/>
    <mergeCell ref="J47:K47"/>
    <mergeCell ref="A49:M49"/>
    <mergeCell ref="A48:L48"/>
    <mergeCell ref="H43:I43"/>
    <mergeCell ref="F42:G42"/>
    <mergeCell ref="A42:E42"/>
    <mergeCell ref="J42:K42"/>
    <mergeCell ref="H42:I42"/>
    <mergeCell ref="F44:G44"/>
    <mergeCell ref="H44:I44"/>
    <mergeCell ref="J44:K44"/>
    <mergeCell ref="A33:M33"/>
    <mergeCell ref="A40:M40"/>
    <mergeCell ref="A46:E46"/>
    <mergeCell ref="F38:G38"/>
    <mergeCell ref="H38:I38"/>
    <mergeCell ref="A39:L39"/>
    <mergeCell ref="A43:E43"/>
    <mergeCell ref="A44:E44"/>
    <mergeCell ref="A45:E45"/>
    <mergeCell ref="A36:E36"/>
    <mergeCell ref="A51:E51"/>
    <mergeCell ref="F51:G51"/>
    <mergeCell ref="H51:I51"/>
    <mergeCell ref="J51:K51"/>
    <mergeCell ref="J36:K36"/>
    <mergeCell ref="J37:K37"/>
    <mergeCell ref="F37:G37"/>
    <mergeCell ref="J45:K45"/>
    <mergeCell ref="J46:K46"/>
    <mergeCell ref="F43:G43"/>
    <mergeCell ref="A77:M77"/>
    <mergeCell ref="A52:E52"/>
    <mergeCell ref="F52:G52"/>
    <mergeCell ref="H52:I52"/>
    <mergeCell ref="J52:K52"/>
    <mergeCell ref="A57:E57"/>
    <mergeCell ref="J57:K57"/>
    <mergeCell ref="A54:M54"/>
    <mergeCell ref="J58:K58"/>
    <mergeCell ref="A53:L53"/>
    <mergeCell ref="A58:I58"/>
    <mergeCell ref="A84:M84"/>
    <mergeCell ref="A78:M78"/>
    <mergeCell ref="A79:I79"/>
    <mergeCell ref="A80:I80"/>
    <mergeCell ref="A81:I81"/>
    <mergeCell ref="A59:L59"/>
    <mergeCell ref="J81:K81"/>
    <mergeCell ref="J82:K82"/>
    <mergeCell ref="A76:L76"/>
  </mergeCells>
  <printOptions/>
  <pageMargins left="0.3937007874015748" right="0.3937007874015748" top="0.1968503937007874" bottom="0.1968503937007874" header="0.5118110236220472" footer="0.5118110236220472"/>
  <pageSetup orientation="landscape" paperSize="9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</dc:creator>
  <cp:keywords/>
  <dc:description/>
  <cp:lastModifiedBy>licita2</cp:lastModifiedBy>
  <cp:lastPrinted>2019-02-11T17:32:53Z</cp:lastPrinted>
  <dcterms:created xsi:type="dcterms:W3CDTF">2011-07-24T00:16:59Z</dcterms:created>
  <dcterms:modified xsi:type="dcterms:W3CDTF">2019-02-11T17:32:54Z</dcterms:modified>
  <cp:category/>
  <cp:version/>
  <cp:contentType/>
  <cp:contentStatus/>
</cp:coreProperties>
</file>